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265" windowHeight="12270" activeTab="2"/>
  </bookViews>
  <sheets>
    <sheet name="Ствол" sheetId="1" r:id="rId1"/>
    <sheet name="Щека лафета" sheetId="2" r:id="rId2"/>
    <sheet name="Деталировка лафета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<sst xmlns="http://schemas.openxmlformats.org/spreadsheetml/2006/main" count="91" uniqueCount="74">
  <si>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Вес ядра (фунты)</t>
  </si>
  <si>
    <t>Четверухин (Россия)</t>
  </si>
  <si>
    <t>Четверухин (Англия)</t>
  </si>
  <si>
    <t>Ханн (Англия)</t>
  </si>
  <si>
    <t>Калибр в см.</t>
  </si>
  <si>
    <t>1/</t>
  </si>
  <si>
    <t>Расчет размеров ствола</t>
  </si>
  <si>
    <t>Линейные размеры (обозначения см. рисунок)</t>
  </si>
  <si>
    <t>Реально (см)</t>
  </si>
  <si>
    <t>В масштабе (мм)</t>
  </si>
  <si>
    <t>A</t>
  </si>
  <si>
    <t>B</t>
  </si>
  <si>
    <t>C</t>
  </si>
  <si>
    <t>D</t>
  </si>
  <si>
    <t>E</t>
  </si>
  <si>
    <t>F</t>
  </si>
  <si>
    <t>L1</t>
  </si>
  <si>
    <t>L2</t>
  </si>
  <si>
    <t>H</t>
  </si>
  <si>
    <t>Диаметры (обозначения см. рисунок)</t>
  </si>
  <si>
    <t>G</t>
  </si>
  <si>
    <t>I</t>
  </si>
  <si>
    <t>Диаметр и длина цапф равна калибру</t>
  </si>
  <si>
    <t>Расчеты корабельных пушек XVIII век (Россия, Англия)</t>
  </si>
  <si>
    <t>Расчет размеров щеки лафета</t>
  </si>
  <si>
    <t>Толщина щеки лафета равна калибру</t>
  </si>
  <si>
    <t>мм в масштабе</t>
  </si>
  <si>
    <t>e</t>
  </si>
  <si>
    <t>f</t>
  </si>
  <si>
    <t>g</t>
  </si>
  <si>
    <t>h</t>
  </si>
  <si>
    <t>k</t>
  </si>
  <si>
    <t>m</t>
  </si>
  <si>
    <t>o</t>
  </si>
  <si>
    <t>p</t>
  </si>
  <si>
    <t>R</t>
  </si>
  <si>
    <t>r</t>
  </si>
  <si>
    <t>Выбор калибра ствола (вручную)</t>
  </si>
  <si>
    <t>Длина в калибрах пушки (вручную)</t>
  </si>
  <si>
    <t>Деталировка лафета</t>
  </si>
  <si>
    <t>Передняя ось</t>
  </si>
  <si>
    <t>L1-f</t>
  </si>
  <si>
    <t>L2-f</t>
  </si>
  <si>
    <t>L3</t>
  </si>
  <si>
    <t>L4</t>
  </si>
  <si>
    <t>d</t>
  </si>
  <si>
    <t>H-f</t>
  </si>
  <si>
    <t>Задняя ось</t>
  </si>
  <si>
    <t>L2-h</t>
  </si>
  <si>
    <t>H-h</t>
  </si>
  <si>
    <t>L4-h</t>
  </si>
  <si>
    <t>L1-h=L1-f</t>
  </si>
  <si>
    <t>Переднее колесо</t>
  </si>
  <si>
    <t>Диаметр</t>
  </si>
  <si>
    <t>Заднее колесо</t>
  </si>
  <si>
    <t>МИРФ ч.3 стр 533 (стр.565 в файле Гугла)</t>
  </si>
  <si>
    <t>Фунты</t>
  </si>
  <si>
    <t>Длина в калибрах</t>
  </si>
  <si>
    <t>1716 год</t>
  </si>
  <si>
    <t>Stool bed</t>
  </si>
  <si>
    <t>S1</t>
  </si>
  <si>
    <t>S2</t>
  </si>
  <si>
    <t>S3</t>
  </si>
  <si>
    <t>S4</t>
  </si>
  <si>
    <t>Размеры (обозначения см. рисунки)</t>
  </si>
  <si>
    <t>Bolster</t>
  </si>
  <si>
    <t>B1</t>
  </si>
  <si>
    <t>B2</t>
  </si>
  <si>
    <t>B3</t>
  </si>
  <si>
    <t>Transom</t>
  </si>
  <si>
    <t>T1=T2</t>
  </si>
  <si>
    <t>T3</t>
  </si>
  <si>
    <t>Пропорции и рисунки взяты из документа Гарольда Ханна: "Design of eighteenth century naval guns for ship models"</t>
  </si>
  <si>
    <t>Масштаб модели (вручную):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</si>
</sst>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1"/>
      <color indexed="9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165" fontId="0" fillId="3" borderId="1" xfId="0" applyNumberFormat="1" applyFill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7" borderId="0" xfId="0" applyFill="1" applyAlignment="1">
      <alignment/>
    </xf>
    <xf numFmtId="0" fontId="2" fillId="4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7" fillId="9" borderId="0" xfId="0" applyFont="1" applyFill="1" applyAlignment="1">
      <alignment/>
    </xf>
    <xf numFmtId="0" fontId="0" fillId="9" borderId="0" xfId="0" applyFill="1" applyAlignment="1">
      <alignment/>
    </xf>
    <xf numFmtId="0" fontId="4" fillId="0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vertical="center"/>
    </xf>
    <xf numFmtId="0" fontId="5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center"/>
    </xf>
    <xf numFmtId="0" fontId="2" fillId="11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23</xdr:row>
      <xdr:rowOff>85725</xdr:rowOff>
    </xdr:from>
    <xdr:to>
      <xdr:col>11</xdr:col>
      <xdr:colOff>400050</xdr:colOff>
      <xdr:row>37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352925"/>
          <a:ext cx="57245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28575</xdr:rowOff>
    </xdr:from>
    <xdr:to>
      <xdr:col>14</xdr:col>
      <xdr:colOff>390525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47700"/>
          <a:ext cx="5153025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28575</xdr:rowOff>
    </xdr:from>
    <xdr:to>
      <xdr:col>10</xdr:col>
      <xdr:colOff>657225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28650"/>
          <a:ext cx="4762500" cy="1876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647700</xdr:colOff>
      <xdr:row>15</xdr:row>
      <xdr:rowOff>19050</xdr:rowOff>
    </xdr:from>
    <xdr:to>
      <xdr:col>11</xdr:col>
      <xdr:colOff>676275</xdr:colOff>
      <xdr:row>25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724150"/>
          <a:ext cx="552450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666750</xdr:colOff>
      <xdr:row>26</xdr:row>
      <xdr:rowOff>9525</xdr:rowOff>
    </xdr:from>
    <xdr:to>
      <xdr:col>7</xdr:col>
      <xdr:colOff>66675</xdr:colOff>
      <xdr:row>47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4533900"/>
          <a:ext cx="2143125" cy="3571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5.00390625" style="0" customWidth="1"/>
    <col min="3" max="3" width="13.625" style="0" customWidth="1"/>
    <col min="4" max="4" width="11.75390625" style="0" customWidth="1"/>
    <col min="7" max="7" width="13.375" style="0" customWidth="1"/>
    <col min="10" max="10" width="11.625" style="0" customWidth="1"/>
  </cols>
  <sheetData>
    <row r="1" spans="1:16" ht="21" customHeight="1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4" ht="12.75">
      <c r="A2" s="41" t="s">
        <v>73</v>
      </c>
      <c r="B2" s="41"/>
      <c r="C2" s="2" t="s">
        <v>5</v>
      </c>
      <c r="D2" s="19">
        <v>48</v>
      </c>
    </row>
    <row r="3" spans="1:10" ht="12.75">
      <c r="A3" s="39" t="s">
        <v>0</v>
      </c>
      <c r="B3" s="40" t="s">
        <v>4</v>
      </c>
      <c r="C3" s="40"/>
      <c r="D3" s="40"/>
      <c r="J3" t="s">
        <v>55</v>
      </c>
    </row>
    <row r="4" spans="1:11" ht="25.5">
      <c r="A4" s="39"/>
      <c r="B4" s="23" t="s">
        <v>1</v>
      </c>
      <c r="C4" s="23" t="s">
        <v>2</v>
      </c>
      <c r="D4" s="23" t="s">
        <v>3</v>
      </c>
      <c r="K4" s="1" t="s">
        <v>58</v>
      </c>
    </row>
    <row r="5" spans="1:12" ht="13.5" thickBot="1">
      <c r="A5" s="22">
        <v>4</v>
      </c>
      <c r="B5" s="20">
        <v>8.1</v>
      </c>
      <c r="C5" s="20"/>
      <c r="D5" s="21">
        <v>7.75462</v>
      </c>
      <c r="J5" s="38" t="s">
        <v>56</v>
      </c>
      <c r="L5" t="s">
        <v>57</v>
      </c>
    </row>
    <row r="6" spans="1:12" ht="14.25" thickBot="1" thickTop="1">
      <c r="A6" s="22">
        <v>6</v>
      </c>
      <c r="B6" s="20">
        <v>9.5</v>
      </c>
      <c r="C6" s="20">
        <v>9.2</v>
      </c>
      <c r="D6" s="21">
        <v>8.87476</v>
      </c>
      <c r="F6" t="s">
        <v>38</v>
      </c>
      <c r="I6" s="18">
        <v>23</v>
      </c>
      <c r="J6" s="38">
        <v>30</v>
      </c>
      <c r="L6">
        <v>18</v>
      </c>
    </row>
    <row r="7" spans="1:12" ht="14.25" thickBot="1" thickTop="1">
      <c r="A7" s="22">
        <v>8</v>
      </c>
      <c r="B7" s="20">
        <v>10.4</v>
      </c>
      <c r="C7" s="20"/>
      <c r="D7" s="21"/>
      <c r="F7" t="s">
        <v>37</v>
      </c>
      <c r="I7" s="17">
        <v>9.5</v>
      </c>
      <c r="J7" s="38">
        <v>24</v>
      </c>
      <c r="L7">
        <v>19</v>
      </c>
    </row>
    <row r="8" spans="1:12" ht="13.5" thickTop="1">
      <c r="A8" s="22">
        <v>9</v>
      </c>
      <c r="B8" s="20"/>
      <c r="C8" s="20">
        <v>10.7</v>
      </c>
      <c r="D8" s="21">
        <v>10.16</v>
      </c>
      <c r="J8" s="38">
        <v>18</v>
      </c>
      <c r="L8">
        <v>20</v>
      </c>
    </row>
    <row r="9" spans="1:12" ht="12.75">
      <c r="A9" s="22">
        <v>12</v>
      </c>
      <c r="B9" s="20">
        <v>11.9</v>
      </c>
      <c r="C9" s="20">
        <v>11.6</v>
      </c>
      <c r="D9" s="21">
        <v>11.18362</v>
      </c>
      <c r="J9" s="38">
        <v>12</v>
      </c>
      <c r="L9">
        <v>21</v>
      </c>
    </row>
    <row r="10" spans="1:12" ht="12.75">
      <c r="A10" s="22">
        <v>18</v>
      </c>
      <c r="B10" s="20">
        <v>13.6</v>
      </c>
      <c r="C10" s="20">
        <v>13.1</v>
      </c>
      <c r="D10" s="21">
        <v>12.8016</v>
      </c>
      <c r="J10" s="38">
        <v>8</v>
      </c>
      <c r="L10">
        <v>23</v>
      </c>
    </row>
    <row r="11" spans="1:12" ht="12.75">
      <c r="A11" s="22">
        <v>24</v>
      </c>
      <c r="B11" s="20">
        <v>15</v>
      </c>
      <c r="C11" s="20">
        <v>14.4</v>
      </c>
      <c r="D11" s="21">
        <v>14.08938</v>
      </c>
      <c r="J11" s="38">
        <v>6</v>
      </c>
      <c r="L11">
        <v>23</v>
      </c>
    </row>
    <row r="12" spans="1:12" ht="12.75">
      <c r="A12" s="22">
        <v>30</v>
      </c>
      <c r="B12" s="20">
        <v>16.4</v>
      </c>
      <c r="C12" s="20"/>
      <c r="D12" s="21"/>
      <c r="J12" s="38">
        <v>4</v>
      </c>
      <c r="L12">
        <v>22</v>
      </c>
    </row>
    <row r="13" spans="1:4" ht="12.75">
      <c r="A13" s="22">
        <v>32</v>
      </c>
      <c r="B13" s="20">
        <v>16.3</v>
      </c>
      <c r="C13" s="20">
        <v>16.3</v>
      </c>
      <c r="D13" s="21">
        <v>15.5067</v>
      </c>
    </row>
    <row r="14" spans="1:4" ht="12.75">
      <c r="A14" s="22">
        <v>42</v>
      </c>
      <c r="B14" s="20"/>
      <c r="C14" s="20">
        <v>17.7</v>
      </c>
      <c r="D14" s="21">
        <v>16.90116</v>
      </c>
    </row>
    <row r="15" spans="1:4" ht="12.75">
      <c r="A15" s="1"/>
      <c r="B15" s="4"/>
      <c r="C15" s="4"/>
      <c r="D15" s="7"/>
    </row>
    <row r="16" spans="1:8" ht="15">
      <c r="A16" s="36" t="s">
        <v>6</v>
      </c>
      <c r="B16" s="37"/>
      <c r="C16" s="37"/>
      <c r="D16" s="37"/>
      <c r="E16" s="37"/>
      <c r="F16" s="37"/>
      <c r="G16" s="37"/>
      <c r="H16" s="37"/>
    </row>
    <row r="17" spans="1:7" ht="12.75">
      <c r="A17" s="3" t="s">
        <v>7</v>
      </c>
      <c r="B17" s="3"/>
      <c r="C17" s="3"/>
      <c r="D17" s="3"/>
      <c r="E17" s="3" t="s">
        <v>19</v>
      </c>
      <c r="F17" s="3"/>
      <c r="G17" s="3"/>
    </row>
    <row r="18" spans="1:7" ht="25.5">
      <c r="A18" s="3"/>
      <c r="B18" s="6" t="s">
        <v>8</v>
      </c>
      <c r="C18" s="6" t="s">
        <v>9</v>
      </c>
      <c r="D18" s="3"/>
      <c r="E18" s="3"/>
      <c r="F18" s="6" t="s">
        <v>8</v>
      </c>
      <c r="G18" s="6" t="s">
        <v>9</v>
      </c>
    </row>
    <row r="19" spans="1:7" ht="12.75">
      <c r="A19" s="2" t="s">
        <v>10</v>
      </c>
      <c r="B19" s="14">
        <f>$I$6*$I$7</f>
        <v>218.5</v>
      </c>
      <c r="C19" s="11">
        <f aca="true" t="shared" si="0" ref="C19:C27">B19/$D$2*10</f>
        <v>45.52083333333333</v>
      </c>
      <c r="E19" s="2" t="s">
        <v>20</v>
      </c>
      <c r="F19" s="4">
        <f>2.75*$I$7</f>
        <v>26.125</v>
      </c>
      <c r="G19" s="11">
        <f>F19/$D$2*10</f>
        <v>5.442708333333334</v>
      </c>
    </row>
    <row r="20" spans="1:7" ht="12.75">
      <c r="A20" s="2" t="s">
        <v>11</v>
      </c>
      <c r="B20" s="14">
        <f>2.25*$I$7</f>
        <v>21.375</v>
      </c>
      <c r="C20" s="11">
        <f t="shared" si="0"/>
        <v>4.453125</v>
      </c>
      <c r="E20" s="2" t="s">
        <v>18</v>
      </c>
      <c r="F20" s="4">
        <f>2.25*$I$7</f>
        <v>21.375</v>
      </c>
      <c r="G20" s="11">
        <f>F20/$D$2*10</f>
        <v>4.453125</v>
      </c>
    </row>
    <row r="21" spans="1:7" ht="12.75">
      <c r="A21" s="2" t="s">
        <v>12</v>
      </c>
      <c r="B21" s="14">
        <f>B19*2/7</f>
        <v>62.42857142857143</v>
      </c>
      <c r="C21" s="11">
        <f t="shared" si="0"/>
        <v>13.005952380952381</v>
      </c>
      <c r="E21" s="2" t="s">
        <v>21</v>
      </c>
      <c r="F21" s="4">
        <f>1.75*$I$7</f>
        <v>16.625</v>
      </c>
      <c r="G21" s="11">
        <f>F21/$D$2*10</f>
        <v>3.463541666666667</v>
      </c>
    </row>
    <row r="22" spans="1:8" ht="13.5" thickBot="1">
      <c r="A22" s="2" t="s">
        <v>13</v>
      </c>
      <c r="B22" s="14">
        <f>(B19/7)+$I$7</f>
        <v>40.714285714285715</v>
      </c>
      <c r="C22" s="11">
        <f t="shared" si="0"/>
        <v>8.482142857142858</v>
      </c>
      <c r="E22" s="26"/>
      <c r="F22" s="26"/>
      <c r="G22" s="26"/>
      <c r="H22" s="26"/>
    </row>
    <row r="23" spans="1:10" ht="14.25" thickBot="1" thickTop="1">
      <c r="A23" s="2" t="s">
        <v>14</v>
      </c>
      <c r="B23" s="15">
        <f>(B19*4/7)-$I$7</f>
        <v>115.35714285714286</v>
      </c>
      <c r="C23" s="12">
        <f t="shared" si="0"/>
        <v>24.0327380952381</v>
      </c>
      <c r="E23" s="8" t="s">
        <v>22</v>
      </c>
      <c r="I23" s="10">
        <f>$I$7/$D$2*10</f>
        <v>1.9791666666666665</v>
      </c>
      <c r="J23" s="3" t="s">
        <v>26</v>
      </c>
    </row>
    <row r="24" spans="1:3" ht="13.5" thickTop="1">
      <c r="A24" s="2" t="s">
        <v>15</v>
      </c>
      <c r="B24" s="16">
        <f>B19+B20</f>
        <v>239.875</v>
      </c>
      <c r="C24" s="13">
        <f t="shared" si="0"/>
        <v>49.97395833333333</v>
      </c>
    </row>
    <row r="25" spans="1:3" ht="12.75">
      <c r="A25" s="2" t="s">
        <v>16</v>
      </c>
      <c r="B25" s="14">
        <f>5*$I$7/3</f>
        <v>15.833333333333334</v>
      </c>
      <c r="C25" s="11">
        <f t="shared" si="0"/>
        <v>3.298611111111111</v>
      </c>
    </row>
    <row r="26" spans="1:3" ht="12.75">
      <c r="A26" s="2" t="s">
        <v>17</v>
      </c>
      <c r="B26" s="14">
        <f>$I$7*1.083</f>
        <v>10.288499999999999</v>
      </c>
      <c r="C26" s="11">
        <f t="shared" si="0"/>
        <v>2.1434374999999997</v>
      </c>
    </row>
    <row r="27" spans="1:3" ht="12.75">
      <c r="A27" s="2" t="s">
        <v>18</v>
      </c>
      <c r="B27" s="14">
        <f>2.25*$I$7</f>
        <v>21.375</v>
      </c>
      <c r="C27" s="11">
        <f t="shared" si="0"/>
        <v>4.453125</v>
      </c>
    </row>
    <row r="28" spans="1:4" ht="12.75">
      <c r="A28" s="26"/>
      <c r="B28" s="26"/>
      <c r="C28" s="26"/>
      <c r="D28" s="26"/>
    </row>
    <row r="39" spans="1:16" ht="15">
      <c r="A39" s="35" t="s">
        <v>72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1" ht="18.75" customHeight="1"/>
  </sheetData>
  <mergeCells count="3">
    <mergeCell ref="A3:A4"/>
    <mergeCell ref="B3:D3"/>
    <mergeCell ref="A2:B2"/>
  </mergeCells>
  <printOptions/>
  <pageMargins left="0.32" right="0.3" top="0.46" bottom="0.45" header="0.29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2" sqref="A2:D2"/>
    </sheetView>
  </sheetViews>
  <sheetFormatPr defaultColWidth="9.00390625" defaultRowHeight="12.75"/>
  <cols>
    <col min="2" max="2" width="11.125" style="0" customWidth="1"/>
    <col min="3" max="3" width="11.75390625" style="0" customWidth="1"/>
  </cols>
  <sheetData>
    <row r="1" spans="1:15" ht="21" customHeight="1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4" ht="15">
      <c r="A2" s="36" t="s">
        <v>24</v>
      </c>
      <c r="B2" s="37"/>
      <c r="C2" s="37"/>
      <c r="D2" s="37"/>
    </row>
    <row r="3" spans="1:3" ht="12.75">
      <c r="A3" s="3" t="s">
        <v>7</v>
      </c>
      <c r="B3" s="3"/>
      <c r="C3" s="3"/>
    </row>
    <row r="4" spans="1:3" ht="25.5">
      <c r="A4" s="28"/>
      <c r="B4" s="27" t="s">
        <v>8</v>
      </c>
      <c r="C4" s="27" t="s">
        <v>9</v>
      </c>
    </row>
    <row r="5" spans="1:3" ht="12.75">
      <c r="A5" s="29" t="s">
        <v>10</v>
      </c>
      <c r="B5" s="25">
        <f>12.522*Ствол!$I$7</f>
        <v>118.959</v>
      </c>
      <c r="C5" s="24">
        <f>B5/Ствол!$D$2*10</f>
        <v>24.783125</v>
      </c>
    </row>
    <row r="6" spans="1:3" ht="12.75">
      <c r="A6" s="29" t="s">
        <v>11</v>
      </c>
      <c r="B6" s="25">
        <f>6.261*Ствол!$I$7</f>
        <v>59.4795</v>
      </c>
      <c r="C6" s="24">
        <f>B6/Ствол!$D$2*10</f>
        <v>12.3915625</v>
      </c>
    </row>
    <row r="7" spans="1:3" ht="12.75">
      <c r="A7" s="29" t="s">
        <v>12</v>
      </c>
      <c r="B7" s="25">
        <f>4.686*Ствол!$I$7</f>
        <v>44.516999999999996</v>
      </c>
      <c r="C7" s="24">
        <f>B7/Ствол!$D$2*10</f>
        <v>9.274375</v>
      </c>
    </row>
    <row r="8" spans="1:3" ht="12.75">
      <c r="A8" s="29" t="s">
        <v>13</v>
      </c>
      <c r="B8" s="25">
        <f>2.343*Ствол!$I$7</f>
        <v>22.258499999999998</v>
      </c>
      <c r="C8" s="24">
        <f>B8/Ствол!$D$2*10</f>
        <v>4.6371875</v>
      </c>
    </row>
    <row r="9" spans="1:3" ht="12.75">
      <c r="A9" s="29" t="s">
        <v>27</v>
      </c>
      <c r="B9" s="25">
        <f>2.215*Ствол!$I$7</f>
        <v>21.042499999999997</v>
      </c>
      <c r="C9" s="24">
        <f>B9/Ствол!$D$2*10</f>
        <v>4.383854166666666</v>
      </c>
    </row>
    <row r="10" spans="1:3" ht="12.75">
      <c r="A10" s="29" t="s">
        <v>28</v>
      </c>
      <c r="B10" s="25">
        <f>1.622*Ствол!$I$7</f>
        <v>15.409</v>
      </c>
      <c r="C10" s="24">
        <f>B10/Ствол!$D$2*10</f>
        <v>3.2102083333333336</v>
      </c>
    </row>
    <row r="11" spans="1:3" ht="12.75">
      <c r="A11" s="29" t="s">
        <v>29</v>
      </c>
      <c r="B11" s="25">
        <f>2.163*Ствол!$I$7</f>
        <v>20.548499999999997</v>
      </c>
      <c r="C11" s="24">
        <f>B11/Ствол!$D$2*10</f>
        <v>4.280937499999999</v>
      </c>
    </row>
    <row r="12" spans="1:3" ht="12.75">
      <c r="A12" s="29" t="s">
        <v>30</v>
      </c>
      <c r="B12" s="25">
        <f>5*Ствол!$I$7</f>
        <v>47.5</v>
      </c>
      <c r="C12" s="24">
        <f>B12/Ствол!$D$2*10</f>
        <v>9.895833333333334</v>
      </c>
    </row>
    <row r="13" spans="1:3" ht="12.75">
      <c r="A13" s="29" t="s">
        <v>31</v>
      </c>
      <c r="B13" s="25">
        <f>1.226*Ствол!$I$7</f>
        <v>11.647</v>
      </c>
      <c r="C13" s="24">
        <f>B13/Ствол!$D$2*10</f>
        <v>2.4264583333333336</v>
      </c>
    </row>
    <row r="14" spans="1:3" ht="12.75">
      <c r="A14" s="29" t="s">
        <v>32</v>
      </c>
      <c r="B14" s="25">
        <f>0.045*Ствол!$I$7</f>
        <v>0.4275</v>
      </c>
      <c r="C14" s="24">
        <f>B14/Ствол!$D$2*10</f>
        <v>0.08906249999999999</v>
      </c>
    </row>
    <row r="15" spans="1:3" ht="12.75">
      <c r="A15" s="29" t="s">
        <v>33</v>
      </c>
      <c r="B15" s="25">
        <f>0.432*Ствол!$I$7</f>
        <v>4.104</v>
      </c>
      <c r="C15" s="24">
        <f>B15/Ствол!$D$2*10</f>
        <v>0.8550000000000001</v>
      </c>
    </row>
    <row r="16" spans="1:3" ht="12.75">
      <c r="A16" s="29" t="s">
        <v>34</v>
      </c>
      <c r="B16" s="25">
        <f>1.983*Ствол!$I$7</f>
        <v>18.8385</v>
      </c>
      <c r="C16" s="24">
        <f>B16/Ствол!$D$2*10</f>
        <v>3.9246874999999997</v>
      </c>
    </row>
    <row r="17" spans="1:3" ht="12.75">
      <c r="A17" s="29" t="s">
        <v>35</v>
      </c>
      <c r="B17" s="25">
        <f>1.082*Ствол!$I$7</f>
        <v>10.279</v>
      </c>
      <c r="C17" s="24">
        <f>B17/Ствол!$D$2*10</f>
        <v>2.1414583333333335</v>
      </c>
    </row>
    <row r="18" spans="1:3" ht="13.5" thickBot="1">
      <c r="A18" s="29" t="s">
        <v>36</v>
      </c>
      <c r="B18" s="25">
        <f>0.5*Ствол!$I$7</f>
        <v>4.75</v>
      </c>
      <c r="C18" s="24">
        <f>B18/Ствол!$D$2*10</f>
        <v>0.9895833333333333</v>
      </c>
    </row>
    <row r="19" spans="1:13" ht="14.25" thickBot="1" thickTop="1">
      <c r="A19" s="26"/>
      <c r="B19" s="26"/>
      <c r="C19" s="26"/>
      <c r="D19" s="26"/>
      <c r="E19" s="26"/>
      <c r="F19" s="26"/>
      <c r="G19" s="26"/>
      <c r="H19" s="3" t="s">
        <v>25</v>
      </c>
      <c r="L19" s="10">
        <f>Ствол!$I$23</f>
        <v>1.9791666666666665</v>
      </c>
      <c r="M19" s="3" t="s">
        <v>26</v>
      </c>
    </row>
    <row r="20" spans="1:15" ht="13.5" thickTop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</sheetData>
  <printOptions/>
  <pageMargins left="0.3" right="0.28" top="1" bottom="0.77" header="0.5" footer="0.3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J33" sqref="J33"/>
    </sheetView>
  </sheetViews>
  <sheetFormatPr defaultColWidth="9.00390625" defaultRowHeight="12.75"/>
  <cols>
    <col min="2" max="2" width="11.00390625" style="0" customWidth="1"/>
    <col min="3" max="3" width="12.75390625" style="0" customWidth="1"/>
  </cols>
  <sheetData>
    <row r="1" spans="1:14" ht="19.5" customHeight="1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3"/>
      <c r="N1" s="33"/>
    </row>
    <row r="2" spans="1:3" ht="15">
      <c r="A2" s="36" t="s">
        <v>39</v>
      </c>
      <c r="B2" s="37"/>
      <c r="C2" s="37"/>
    </row>
    <row r="3" spans="1:9" ht="12.75">
      <c r="A3" s="3" t="s">
        <v>64</v>
      </c>
      <c r="B3" s="3"/>
      <c r="C3" s="3"/>
      <c r="G3" s="8" t="s">
        <v>40</v>
      </c>
      <c r="H3" s="8"/>
      <c r="I3" s="8"/>
    </row>
    <row r="4" spans="1:3" ht="25.5">
      <c r="A4" s="28"/>
      <c r="B4" s="27" t="s">
        <v>8</v>
      </c>
      <c r="C4" s="27" t="s">
        <v>9</v>
      </c>
    </row>
    <row r="5" spans="1:3" ht="12.75">
      <c r="A5" s="30" t="s">
        <v>41</v>
      </c>
      <c r="B5" s="25">
        <f>9.735*Ствол!$I$7</f>
        <v>92.48249999999999</v>
      </c>
      <c r="C5" s="24">
        <f>B5/Ствол!$D$2*10</f>
        <v>19.2671875</v>
      </c>
    </row>
    <row r="6" spans="1:3" ht="12.75">
      <c r="A6" s="30" t="s">
        <v>42</v>
      </c>
      <c r="B6" s="25">
        <f>4.992*Ствол!$I$7</f>
        <v>47.424</v>
      </c>
      <c r="C6" s="24">
        <f>B6/Ствол!$D$2*10</f>
        <v>9.879999999999999</v>
      </c>
    </row>
    <row r="7" spans="1:3" ht="12.75">
      <c r="A7" s="30" t="s">
        <v>43</v>
      </c>
      <c r="B7" s="25">
        <f>1.767*Ствол!$I$7</f>
        <v>16.7865</v>
      </c>
      <c r="C7" s="24">
        <f>B7/Ствол!$D$2*10</f>
        <v>3.4971875000000003</v>
      </c>
    </row>
    <row r="8" spans="1:3" ht="12.75">
      <c r="A8" s="30" t="s">
        <v>44</v>
      </c>
      <c r="B8" s="25">
        <f>0.605*Ствол!$I$7</f>
        <v>5.7475</v>
      </c>
      <c r="C8" s="24">
        <f>B8/Ствол!$D$2*10</f>
        <v>1.1973958333333332</v>
      </c>
    </row>
    <row r="9" spans="1:3" ht="12.75">
      <c r="A9" s="30" t="s">
        <v>13</v>
      </c>
      <c r="B9" s="25">
        <f>1.226*Ствол!$I$7</f>
        <v>11.647</v>
      </c>
      <c r="C9" s="24">
        <f>B9/Ствол!$D$2*10</f>
        <v>2.4264583333333336</v>
      </c>
    </row>
    <row r="10" spans="1:3" ht="12.75">
      <c r="A10" s="30" t="s">
        <v>45</v>
      </c>
      <c r="B10" s="25">
        <f>1.118*Ствол!$I$7</f>
        <v>10.621</v>
      </c>
      <c r="C10" s="24">
        <f>B10/Ствол!$D$2*10</f>
        <v>2.2127083333333335</v>
      </c>
    </row>
    <row r="11" spans="1:3" ht="12.75">
      <c r="A11" s="30" t="s">
        <v>46</v>
      </c>
      <c r="B11" s="25">
        <f>1.659*Ствол!$I$7</f>
        <v>15.7605</v>
      </c>
      <c r="C11" s="24">
        <f>B11/Ствол!$D$2*10</f>
        <v>3.2834375</v>
      </c>
    </row>
    <row r="12" ht="12.75">
      <c r="A12" s="30"/>
    </row>
    <row r="13" ht="12.75">
      <c r="A13" s="30"/>
    </row>
    <row r="14" ht="12.75">
      <c r="A14" s="30"/>
    </row>
    <row r="15" spans="1:9" ht="12.75">
      <c r="A15" s="30"/>
      <c r="G15" s="8" t="s">
        <v>47</v>
      </c>
      <c r="H15" s="8"/>
      <c r="I15" s="8"/>
    </row>
    <row r="16" ht="12.75">
      <c r="A16" s="30"/>
    </row>
    <row r="17" ht="12.75">
      <c r="A17" s="30"/>
    </row>
    <row r="18" spans="1:3" ht="12.75">
      <c r="A18" s="30" t="s">
        <v>51</v>
      </c>
      <c r="B18" s="25">
        <f>9.735*Ствол!$I$7</f>
        <v>92.48249999999999</v>
      </c>
      <c r="C18" s="24">
        <f>B18/Ствол!$D$2*10</f>
        <v>19.2671875</v>
      </c>
    </row>
    <row r="19" spans="1:3" ht="12.75">
      <c r="A19" s="30" t="s">
        <v>48</v>
      </c>
      <c r="B19" s="25">
        <f>5.695*Ствол!$I$7</f>
        <v>54.102500000000006</v>
      </c>
      <c r="C19" s="24">
        <f>B19/Ствол!$D$2*10</f>
        <v>11.271354166666667</v>
      </c>
    </row>
    <row r="20" spans="1:3" ht="12.75">
      <c r="A20" s="30" t="s">
        <v>49</v>
      </c>
      <c r="B20" s="25">
        <f>2.163*Ствол!$I$7</f>
        <v>20.548499999999997</v>
      </c>
      <c r="C20" s="24">
        <f>B20/Ствол!$D$2*10</f>
        <v>4.280937499999999</v>
      </c>
    </row>
    <row r="21" spans="1:3" ht="12.75">
      <c r="A21" s="30" t="s">
        <v>50</v>
      </c>
      <c r="B21" s="25">
        <f>0.263*Ствол!$I$7</f>
        <v>2.4985</v>
      </c>
      <c r="C21" s="24">
        <f>B21/Ствол!$D$2*10</f>
        <v>0.5205208333333333</v>
      </c>
    </row>
    <row r="24" spans="1:3" ht="14.25">
      <c r="A24" s="31" t="s">
        <v>52</v>
      </c>
      <c r="B24" s="32"/>
      <c r="C24" s="32"/>
    </row>
    <row r="25" spans="1:3" ht="12.75">
      <c r="A25" s="30" t="s">
        <v>53</v>
      </c>
      <c r="B25" s="25">
        <f>3.245*Ствол!$I$7</f>
        <v>30.8275</v>
      </c>
      <c r="C25" s="24">
        <f>B25/Ствол!$D$2*10</f>
        <v>6.422395833333333</v>
      </c>
    </row>
    <row r="26" spans="1:3" ht="14.25">
      <c r="A26" s="31" t="s">
        <v>54</v>
      </c>
      <c r="B26" s="32"/>
      <c r="C26" s="32"/>
    </row>
    <row r="27" spans="1:3" ht="12.75">
      <c r="A27" s="30" t="s">
        <v>53</v>
      </c>
      <c r="B27" s="25">
        <f>2.584*Ствол!$I$7</f>
        <v>24.548000000000002</v>
      </c>
      <c r="C27" s="24">
        <f>B27/Ствол!$D$2*10</f>
        <v>5.114166666666668</v>
      </c>
    </row>
    <row r="29" spans="1:3" ht="14.25">
      <c r="A29" s="31" t="s">
        <v>59</v>
      </c>
      <c r="B29" s="32"/>
      <c r="C29" s="32"/>
    </row>
    <row r="30" spans="1:3" ht="12.75">
      <c r="A30" s="30" t="s">
        <v>60</v>
      </c>
      <c r="B30" s="25">
        <f>5.822*Ствол!$I$7</f>
        <v>55.309</v>
      </c>
      <c r="C30" s="24">
        <f>B30/Ствол!$D$2*10</f>
        <v>11.522708333333334</v>
      </c>
    </row>
    <row r="31" spans="1:3" ht="12.75">
      <c r="A31" s="30" t="s">
        <v>61</v>
      </c>
      <c r="B31" s="25">
        <f>0.721*Ствол!$I$7</f>
        <v>6.8495</v>
      </c>
      <c r="C31" s="24">
        <f>B31/Ствол!$D$2*10</f>
        <v>1.4269791666666667</v>
      </c>
    </row>
    <row r="32" spans="1:3" ht="12.75">
      <c r="A32" s="30" t="s">
        <v>62</v>
      </c>
      <c r="B32" s="25">
        <f>1.603*Ствол!$I$7</f>
        <v>15.2285</v>
      </c>
      <c r="C32" s="24">
        <f>B32/Ствол!$D$2*10</f>
        <v>3.1726041666666664</v>
      </c>
    </row>
    <row r="33" spans="1:3" ht="12.75">
      <c r="A33" s="30" t="s">
        <v>63</v>
      </c>
      <c r="B33" s="25">
        <f>1.082*Ствол!$I$7</f>
        <v>10.279</v>
      </c>
      <c r="C33" s="24">
        <f>B33/Ствол!$D$2*10</f>
        <v>2.1414583333333335</v>
      </c>
    </row>
    <row r="34" spans="1:3" ht="14.25">
      <c r="A34" s="31" t="s">
        <v>65</v>
      </c>
      <c r="B34" s="32"/>
      <c r="C34" s="32"/>
    </row>
    <row r="35" spans="1:3" ht="12.75">
      <c r="A35" s="30" t="s">
        <v>66</v>
      </c>
      <c r="B35" s="25">
        <f>2.974*Ствол!$I$7</f>
        <v>28.253</v>
      </c>
      <c r="C35" s="24">
        <f>B35/Ствол!$D$2*10</f>
        <v>5.886041666666667</v>
      </c>
    </row>
    <row r="36" spans="1:3" ht="12.75">
      <c r="A36" s="30" t="s">
        <v>67</v>
      </c>
      <c r="B36" s="25">
        <f>1.25*Ствол!$I$7</f>
        <v>11.875</v>
      </c>
      <c r="C36" s="24">
        <f>B36/Ствол!$D$2*10</f>
        <v>2.4739583333333335</v>
      </c>
    </row>
    <row r="37" spans="1:3" ht="12.75">
      <c r="A37" s="30" t="s">
        <v>68</v>
      </c>
      <c r="B37" s="25">
        <f>1*Ствол!$I$7</f>
        <v>9.5</v>
      </c>
      <c r="C37" s="24">
        <f>B37/Ствол!$D$2*10</f>
        <v>1.9791666666666665</v>
      </c>
    </row>
    <row r="38" spans="1:3" ht="14.25">
      <c r="A38" s="31" t="s">
        <v>69</v>
      </c>
      <c r="B38" s="32"/>
      <c r="C38" s="32"/>
    </row>
    <row r="39" spans="1:3" ht="12.75">
      <c r="A39" s="30" t="s">
        <v>70</v>
      </c>
      <c r="B39" s="25">
        <f>3*Ствол!$I$7</f>
        <v>28.5</v>
      </c>
      <c r="C39" s="24">
        <f>B39/Ствол!$D$2*10</f>
        <v>5.9375</v>
      </c>
    </row>
    <row r="40" spans="1:3" ht="12.75">
      <c r="A40" s="30" t="s">
        <v>71</v>
      </c>
      <c r="B40" s="25">
        <f>1*Ствол!$I$7</f>
        <v>9.5</v>
      </c>
      <c r="C40" s="24">
        <f>B40/Ствол!$D$2*10</f>
        <v>1.9791666666666665</v>
      </c>
    </row>
    <row r="41" spans="1:4" ht="12.75">
      <c r="A41" s="26"/>
      <c r="B41" s="26"/>
      <c r="C41" s="26"/>
      <c r="D41" s="26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</sheetData>
  <printOptions/>
  <pageMargins left="0.53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Alexander</cp:lastModifiedBy>
  <cp:lastPrinted>2009-05-06T17:53:55Z</cp:lastPrinted>
  <dcterms:created xsi:type="dcterms:W3CDTF">2009-04-08T07:47:40Z</dcterms:created>
  <dcterms:modified xsi:type="dcterms:W3CDTF">2010-09-01T15:06:35Z</dcterms:modified>
  <cp:category/>
  <cp:version/>
  <cp:contentType/>
  <cp:contentStatus/>
</cp:coreProperties>
</file>